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s" state="visible" r:id="rId4"/>
    <sheet sheetId="2" name="Monthly Summary" state="visible" r:id="rId5"/>
    <sheet sheetId="3" name="Annual Summary" state="visible" r:id="rId6"/>
    <sheet sheetId="4" name="Instructions" state="visible" r:id="rId7"/>
  </sheets>
  <calcPr calcId="171027"/>
</workbook>
</file>

<file path=xl/sharedStrings.xml><?xml version="1.0" encoding="utf-8"?>
<sst xmlns="http://schemas.openxmlformats.org/spreadsheetml/2006/main" count="377" uniqueCount="128">
  <si>
    <t>Rental Property Expense Tracker — 2026</t>
  </si>
  <si>
    <t>Categories mapped to IRS Schedule E. Track every expense, stay organized at tax time. Free template from getrentguard.com</t>
  </si>
  <si>
    <t>Date</t>
  </si>
  <si>
    <t>Property</t>
  </si>
  <si>
    <t>Category</t>
  </si>
  <si>
    <t>Description</t>
  </si>
  <si>
    <t>Amount</t>
  </si>
  <si>
    <t>Payment Method</t>
  </si>
  <si>
    <t>Receipt (Y/N)</t>
  </si>
  <si>
    <t>Tax Deductible (Y/N)</t>
  </si>
  <si>
    <t>Notes</t>
  </si>
  <si>
    <t>2026-01-05</t>
  </si>
  <si>
    <t>123 Main St</t>
  </si>
  <si>
    <t>Repairs</t>
  </si>
  <si>
    <t>Fixed leaky kitchen faucet</t>
  </si>
  <si>
    <t>Check</t>
  </si>
  <si>
    <t>Y</t>
  </si>
  <si>
    <t>Plumber: ABC Plumbing</t>
  </si>
  <si>
    <t>2026-01-10</t>
  </si>
  <si>
    <t>Insurance</t>
  </si>
  <si>
    <t>Annual landlord policy</t>
  </si>
  <si>
    <t>Bank Transfer</t>
  </si>
  <si>
    <t>State Farm policy #12345</t>
  </si>
  <si>
    <t>2026-01-15</t>
  </si>
  <si>
    <t>456 Oak Ave</t>
  </si>
  <si>
    <t>Cleaning/Maintenance</t>
  </si>
  <si>
    <t>Turnover cleaning unit 2B</t>
  </si>
  <si>
    <t>Credit Card</t>
  </si>
  <si>
    <t/>
  </si>
  <si>
    <t>2026-01-20</t>
  </si>
  <si>
    <t>Utilities</t>
  </si>
  <si>
    <t>Water bill - January</t>
  </si>
  <si>
    <t>Auto-Pay</t>
  </si>
  <si>
    <t>2026-02-01</t>
  </si>
  <si>
    <t>Mortgage Interest</t>
  </si>
  <si>
    <t>February mortgage interest</t>
  </si>
  <si>
    <t>Loan #98765</t>
  </si>
  <si>
    <t>2026-02-05</t>
  </si>
  <si>
    <t>Supplies</t>
  </si>
  <si>
    <t>Smoke detectors (3-pack)</t>
  </si>
  <si>
    <t>Home Depot</t>
  </si>
  <si>
    <t>2026-02-10</t>
  </si>
  <si>
    <t>Advertising</t>
  </si>
  <si>
    <t>Zillow rental listing</t>
  </si>
  <si>
    <t>2026-02-15</t>
  </si>
  <si>
    <t>Legal/Professional</t>
  </si>
  <si>
    <t>Tax prep - rental schedule</t>
  </si>
  <si>
    <t>CPA fee for Schedule E</t>
  </si>
  <si>
    <t>2026-03-01</t>
  </si>
  <si>
    <t>Management Fees</t>
  </si>
  <si>
    <t>March property management</t>
  </si>
  <si>
    <t>10% of rent</t>
  </si>
  <si>
    <t>2026-03-10</t>
  </si>
  <si>
    <t>Taxes</t>
  </si>
  <si>
    <t>Property tax Q1 installment</t>
  </si>
  <si>
    <t>Monthly Expense Summary — 2026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</si>
  <si>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</si>
  <si>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</si>
  <si>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</si>
  <si>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</si>
  <si>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</si>
  <si>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</si>
  <si>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</si>
  <si>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</si>
  <si>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</si>
  <si>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</si>
  <si>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</si>
  <si>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</si>
  <si>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</si>
  <si>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Auto/Travel</t>
  </si>
  <si>
    <t>Commissions</t>
  </si>
  <si>
    <t>Depreciation</t>
  </si>
  <si>
    <t>Other</t>
  </si>
  <si>
    <t>TOTAL</t>
  </si>
  <si>
    <t>Annual Expense Summary (Schedule E) — 2026</t>
  </si>
  <si>
    <t>Schedule E Category</t>
  </si>
  <si>
    <t>Annual Total</t>
  </si>
  <si>
    <t>Schedule E Line Reference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</si>
  <si>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</si>
  <si>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</si>
  <si>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</si>
  <si>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</si>
  <si>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</si>
  <si>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</si>
  <si>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</si>
  <si>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</si>
  <si>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14</t>
  </si>
  <si>
    <t>Line 15</t>
  </si>
  <si>
    <t>Line 16</t>
  </si>
  <si>
    <t>Line 17</t>
  </si>
  <si>
    <t>Line 18</t>
  </si>
  <si>
    <t>Line 19</t>
  </si>
  <si>
    <t>TOTAL EXPENSES</t>
  </si>
  <si>
    <t>Rental Property Expense Tracker — Instructions</t>
  </si>
  <si>
    <t>Free template from RentGuard — getrentguard.com</t>
  </si>
  <si>
    <t>How to Use This Template</t>
  </si>
  <si>
    <t>1. Log every expense on the Expenses tab as it happens.</t>
  </si>
  <si>
    <t>2. Pick a Category from the dropdown — these map directly to IRS Schedule E.</t>
  </si>
  <si>
    <t>3. Mark Tax Deductible as Y or N. Tax-deductible items highlight green.</t>
  </si>
  <si>
    <t>4. Check the Monthly Summary tab to see spending by category each month.</t>
  </si>
  <si>
    <t>5. At tax time, go to the Annual Summary tab for Schedule E totals.</t>
  </si>
  <si>
    <t>IRS Schedule E Categories</t>
  </si>
  <si>
    <t>• Advertising — Listing fees, marketing costs</t>
  </si>
  <si>
    <t>• Auto/Travel — Mileage, travel to properties</t>
  </si>
  <si>
    <t>• Cleaning/Maintenance — Turnover cleaning, routine upkeep</t>
  </si>
  <si>
    <t>• Commissions — Leasing commissions, finder fees</t>
  </si>
  <si>
    <t>• Insurance — Landlord policies, umbrella coverage</t>
  </si>
  <si>
    <t>• Legal/Professional — Attorney, CPA, tax prep fees</t>
  </si>
  <si>
    <t>• Management Fees — Property management company fees</t>
  </si>
  <si>
    <t>• Mortgage Interest — Interest portion of mortgage payments</t>
  </si>
  <si>
    <t>• Repairs — Fixing things that are broken</t>
  </si>
  <si>
    <t>• Supplies — Tools, materials, consumables</t>
  </si>
  <si>
    <t>• Taxes — Property taxes, any applicable local taxes</t>
  </si>
  <si>
    <t>• Utilities — Water, gas, electric, trash, internet</t>
  </si>
  <si>
    <t>• Depreciation — Building depreciation (consult your CPA)</t>
  </si>
  <si>
    <t>• Other — Anything that doesn't fit the categories above</t>
  </si>
  <si>
    <t>Tips</t>
  </si>
  <si>
    <t>• Log expenses as they happen. Don't wait until tax time.</t>
  </si>
  <si>
    <t>• Keep receipts — mark Y in the Receipt column when you have one.</t>
  </si>
  <si>
    <t>• Use the filter arrows in the header row to sort by Property or Category.</t>
  </si>
  <si>
    <t>• If you manage multiple properties, enter the property address in each row.</t>
  </si>
  <si>
    <t>Tax Time</t>
  </si>
  <si>
    <t>• Open the Annual Summary tab and hand it to your CPA.</t>
  </si>
  <si>
    <t>• Each category maps to a specific Schedule E line.</t>
  </si>
  <si>
    <t>• This is not tax advice. Consult a tax professional.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</si>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</sst>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FF4F46E5"/>
      <sz val="14"/>
    </font>
    <font>
      <i/>
      <color rgb="FF71717A"/>
      <sz val="10"/>
    </font>
    <font>
      <b/>
      <color rgb="FFFFFFFF"/>
      <sz val="11"/>
      <name val="Calibri"/>
    </font>
    <font>
      <b/>
      <color rgb="FF3F3F46"/>
      <sz val="11"/>
    </font>
    <font>
      <b/>
    </font>
    <font>
      <b/>
      <color rgb="FF4F46E5"/>
      <sz val="12"/>
    </font>
    <font>
      <b/>
      <sz val="11"/>
    </font>
    <font>
      <color rgb="FF71717A"/>
      <sz val="11"/>
    </font>
    <font>
      <b/>
      <sz val="12"/>
    </font>
    <font>
      <b/>
      <color rgb="FF4F46E5"/>
      <sz val="16"/>
    </font>
    <font>
      <i/>
      <color rgb="FF71717A"/>
      <sz val="11"/>
    </font>
    <font>
      <b/>
      <color rgb="FF18181B"/>
      <sz val="13"/>
    </font>
    <font>
      <color rgb="FF52525B"/>
      <sz val="11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>
        <color rgb="FF3730A3"/>
      </left>
      <right style="thin">
        <color rgb="FF3730A3"/>
      </right>
      <top style="thin">
        <color rgb="FF3730A3"/>
      </top>
      <bottom style="thin">
        <color rgb="FF3730A3"/>
      </bottom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1"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9669"/>
  </sheetPr>
  <dimension ref="A1:I34"/>
  <sheetFormatPr defaultRowHeight="15" outlineLevelRow="0" outlineLevelCol="0" x14ac:dyDescent="55"/>
  <cols>
    <col min="1" max="1" width="14" customWidth="1"/>
    <col min="2" max="2" width="18" customWidth="1"/>
    <col min="3" max="3" width="22" customWidth="1"/>
    <col min="4" max="4" width="30" customWidth="1"/>
    <col min="5" max="5" width="14" customWidth="1"/>
    <col min="6" max="6" width="18" customWidth="1"/>
    <col min="7" max="7" width="14" customWidth="1"/>
    <col min="8" max="8" width="20" customWidth="1"/>
    <col min="9" max="9" width="30" customWidth="1"/>
  </cols>
  <sheetData>
    <row r="1" ht="32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" customHeight="1" x14ac:dyDescent="0.25"/>
    <row r="4" ht="28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2" customHeight="1" spans="1:9" x14ac:dyDescent="0.25">
      <c r="A5" s="4" t="s">
        <v>11</v>
      </c>
      <c r="B5" s="5" t="s">
        <v>12</v>
      </c>
      <c r="C5" s="5" t="s">
        <v>13</v>
      </c>
      <c r="D5" s="5" t="s">
        <v>14</v>
      </c>
      <c r="E5" s="6">
        <v>185</v>
      </c>
      <c r="F5" s="5" t="s">
        <v>15</v>
      </c>
      <c r="G5" s="5" t="s">
        <v>16</v>
      </c>
      <c r="H5" s="5" t="s">
        <v>16</v>
      </c>
      <c r="I5" s="5" t="s">
        <v>17</v>
      </c>
    </row>
    <row r="6" ht="22" customHeight="1" spans="1:9" x14ac:dyDescent="0.25">
      <c r="A6" s="7" t="s">
        <v>18</v>
      </c>
      <c r="B6" s="8" t="s">
        <v>12</v>
      </c>
      <c r="C6" s="8" t="s">
        <v>19</v>
      </c>
      <c r="D6" s="8" t="s">
        <v>20</v>
      </c>
      <c r="E6" s="9">
        <v>1200</v>
      </c>
      <c r="F6" s="8" t="s">
        <v>21</v>
      </c>
      <c r="G6" s="8" t="s">
        <v>16</v>
      </c>
      <c r="H6" s="8" t="s">
        <v>16</v>
      </c>
      <c r="I6" s="8" t="s">
        <v>22</v>
      </c>
    </row>
    <row r="7" ht="22" customHeight="1" spans="1:9" x14ac:dyDescent="0.25">
      <c r="A7" s="4" t="s">
        <v>23</v>
      </c>
      <c r="B7" s="5" t="s">
        <v>24</v>
      </c>
      <c r="C7" s="5" t="s">
        <v>25</v>
      </c>
      <c r="D7" s="5" t="s">
        <v>26</v>
      </c>
      <c r="E7" s="6">
        <v>350</v>
      </c>
      <c r="F7" s="5" t="s">
        <v>27</v>
      </c>
      <c r="G7" s="5" t="s">
        <v>16</v>
      </c>
      <c r="H7" s="5" t="s">
        <v>16</v>
      </c>
      <c r="I7" s="5" t="s">
        <v>28</v>
      </c>
    </row>
    <row r="8" ht="22" customHeight="1" spans="1:9" x14ac:dyDescent="0.25">
      <c r="A8" s="7" t="s">
        <v>29</v>
      </c>
      <c r="B8" s="8" t="s">
        <v>12</v>
      </c>
      <c r="C8" s="8" t="s">
        <v>30</v>
      </c>
      <c r="D8" s="8" t="s">
        <v>31</v>
      </c>
      <c r="E8" s="9">
        <v>95</v>
      </c>
      <c r="F8" s="8" t="s">
        <v>32</v>
      </c>
      <c r="G8" s="8" t="s">
        <v>16</v>
      </c>
      <c r="H8" s="8" t="s">
        <v>16</v>
      </c>
      <c r="I8" s="8" t="s">
        <v>28</v>
      </c>
    </row>
    <row r="9" ht="22" customHeight="1" spans="1:9" x14ac:dyDescent="0.25">
      <c r="A9" s="4" t="s">
        <v>33</v>
      </c>
      <c r="B9" s="5" t="s">
        <v>24</v>
      </c>
      <c r="C9" s="5" t="s">
        <v>34</v>
      </c>
      <c r="D9" s="5" t="s">
        <v>35</v>
      </c>
      <c r="E9" s="6">
        <v>890</v>
      </c>
      <c r="F9" s="5" t="s">
        <v>21</v>
      </c>
      <c r="G9" s="5" t="s">
        <v>16</v>
      </c>
      <c r="H9" s="5" t="s">
        <v>16</v>
      </c>
      <c r="I9" s="5" t="s">
        <v>36</v>
      </c>
    </row>
    <row r="10" ht="22" customHeight="1" spans="1:9" x14ac:dyDescent="0.25">
      <c r="A10" s="7" t="s">
        <v>37</v>
      </c>
      <c r="B10" s="8" t="s">
        <v>12</v>
      </c>
      <c r="C10" s="8" t="s">
        <v>38</v>
      </c>
      <c r="D10" s="8" t="s">
        <v>39</v>
      </c>
      <c r="E10" s="9">
        <v>45</v>
      </c>
      <c r="F10" s="8" t="s">
        <v>27</v>
      </c>
      <c r="G10" s="8" t="s">
        <v>16</v>
      </c>
      <c r="H10" s="8" t="s">
        <v>16</v>
      </c>
      <c r="I10" s="8" t="s">
        <v>40</v>
      </c>
    </row>
    <row r="11" ht="22" customHeight="1" spans="1:9" x14ac:dyDescent="0.25">
      <c r="A11" s="4" t="s">
        <v>41</v>
      </c>
      <c r="B11" s="5" t="s">
        <v>24</v>
      </c>
      <c r="C11" s="5" t="s">
        <v>42</v>
      </c>
      <c r="D11" s="5" t="s">
        <v>43</v>
      </c>
      <c r="E11" s="6">
        <v>30</v>
      </c>
      <c r="F11" s="5" t="s">
        <v>27</v>
      </c>
      <c r="G11" s="5" t="s">
        <v>16</v>
      </c>
      <c r="H11" s="5" t="s">
        <v>16</v>
      </c>
      <c r="I11" s="5" t="s">
        <v>28</v>
      </c>
    </row>
    <row r="12" ht="22" customHeight="1" spans="1:9" x14ac:dyDescent="0.25">
      <c r="A12" s="7" t="s">
        <v>44</v>
      </c>
      <c r="B12" s="8" t="s">
        <v>12</v>
      </c>
      <c r="C12" s="8" t="s">
        <v>45</v>
      </c>
      <c r="D12" s="8" t="s">
        <v>46</v>
      </c>
      <c r="E12" s="9">
        <v>200</v>
      </c>
      <c r="F12" s="8" t="s">
        <v>15</v>
      </c>
      <c r="G12" s="8" t="s">
        <v>16</v>
      </c>
      <c r="H12" s="8" t="s">
        <v>16</v>
      </c>
      <c r="I12" s="8" t="s">
        <v>47</v>
      </c>
    </row>
    <row r="13" ht="22" customHeight="1" spans="1:9" x14ac:dyDescent="0.25">
      <c r="A13" s="4" t="s">
        <v>48</v>
      </c>
      <c r="B13" s="5" t="s">
        <v>24</v>
      </c>
      <c r="C13" s="5" t="s">
        <v>49</v>
      </c>
      <c r="D13" s="5" t="s">
        <v>50</v>
      </c>
      <c r="E13" s="6">
        <v>150</v>
      </c>
      <c r="F13" s="5" t="s">
        <v>21</v>
      </c>
      <c r="G13" s="5" t="s">
        <v>16</v>
      </c>
      <c r="H13" s="5" t="s">
        <v>16</v>
      </c>
      <c r="I13" s="5" t="s">
        <v>51</v>
      </c>
    </row>
    <row r="14" ht="22" customHeight="1" spans="1:9" x14ac:dyDescent="0.25">
      <c r="A14" s="7" t="s">
        <v>52</v>
      </c>
      <c r="B14" s="8" t="s">
        <v>12</v>
      </c>
      <c r="C14" s="8" t="s">
        <v>53</v>
      </c>
      <c r="D14" s="8" t="s">
        <v>54</v>
      </c>
      <c r="E14" s="9">
        <v>825</v>
      </c>
      <c r="F14" s="8" t="s">
        <v>15</v>
      </c>
      <c r="G14" s="8" t="s">
        <v>16</v>
      </c>
      <c r="H14" s="8" t="s">
        <v>16</v>
      </c>
      <c r="I14" s="8" t="s">
        <v>28</v>
      </c>
    </row>
    <row r="15" ht="22" customHeight="1" spans="1:9" x14ac:dyDescent="0.25">
      <c r="A15" s="4" t="s">
        <v>28</v>
      </c>
      <c r="B15" s="5" t="s">
        <v>28</v>
      </c>
      <c r="C15" s="5" t="s">
        <v>28</v>
      </c>
      <c r="D15" s="5" t="s">
        <v>28</v>
      </c>
      <c r="E15" s="6" t="s">
        <v>28</v>
      </c>
      <c r="F15" s="5" t="s">
        <v>28</v>
      </c>
      <c r="G15" s="5" t="s">
        <v>28</v>
      </c>
      <c r="H15" s="5" t="s">
        <v>28</v>
      </c>
      <c r="I15" s="5" t="s">
        <v>28</v>
      </c>
    </row>
    <row r="16" ht="22" customHeight="1" spans="1:9" x14ac:dyDescent="0.25">
      <c r="A16" s="7" t="s">
        <v>28</v>
      </c>
      <c r="B16" s="8" t="s">
        <v>28</v>
      </c>
      <c r="C16" s="8" t="s">
        <v>28</v>
      </c>
      <c r="D16" s="8" t="s">
        <v>28</v>
      </c>
      <c r="E16" s="9" t="s">
        <v>28</v>
      </c>
      <c r="F16" s="8" t="s">
        <v>28</v>
      </c>
      <c r="G16" s="8" t="s">
        <v>28</v>
      </c>
      <c r="H16" s="8" t="s">
        <v>28</v>
      </c>
      <c r="I16" s="8" t="s">
        <v>28</v>
      </c>
    </row>
    <row r="17" ht="22" customHeight="1" spans="1:9" x14ac:dyDescent="0.25">
      <c r="A17" s="4" t="s">
        <v>28</v>
      </c>
      <c r="B17" s="5" t="s">
        <v>28</v>
      </c>
      <c r="C17" s="5" t="s">
        <v>28</v>
      </c>
      <c r="D17" s="5" t="s">
        <v>28</v>
      </c>
      <c r="E17" s="6" t="s">
        <v>28</v>
      </c>
      <c r="F17" s="5" t="s">
        <v>28</v>
      </c>
      <c r="G17" s="5" t="s">
        <v>28</v>
      </c>
      <c r="H17" s="5" t="s">
        <v>28</v>
      </c>
      <c r="I17" s="5" t="s">
        <v>28</v>
      </c>
    </row>
    <row r="18" ht="22" customHeight="1" spans="1:9" x14ac:dyDescent="0.25">
      <c r="A18" s="7" t="s">
        <v>28</v>
      </c>
      <c r="B18" s="8" t="s">
        <v>28</v>
      </c>
      <c r="C18" s="8" t="s">
        <v>28</v>
      </c>
      <c r="D18" s="8" t="s">
        <v>28</v>
      </c>
      <c r="E18" s="9" t="s">
        <v>28</v>
      </c>
      <c r="F18" s="8" t="s">
        <v>28</v>
      </c>
      <c r="G18" s="8" t="s">
        <v>28</v>
      </c>
      <c r="H18" s="8" t="s">
        <v>28</v>
      </c>
      <c r="I18" s="8" t="s">
        <v>28</v>
      </c>
    </row>
    <row r="19" ht="22" customHeight="1" spans="1:9" x14ac:dyDescent="0.25">
      <c r="A19" s="4" t="s">
        <v>28</v>
      </c>
      <c r="B19" s="5" t="s">
        <v>28</v>
      </c>
      <c r="C19" s="5" t="s">
        <v>28</v>
      </c>
      <c r="D19" s="5" t="s">
        <v>28</v>
      </c>
      <c r="E19" s="6" t="s">
        <v>28</v>
      </c>
      <c r="F19" s="5" t="s">
        <v>28</v>
      </c>
      <c r="G19" s="5" t="s">
        <v>28</v>
      </c>
      <c r="H19" s="5" t="s">
        <v>28</v>
      </c>
      <c r="I19" s="5" t="s">
        <v>28</v>
      </c>
    </row>
    <row r="20" ht="22" customHeight="1" spans="1:9" x14ac:dyDescent="0.25">
      <c r="A20" s="7" t="s">
        <v>28</v>
      </c>
      <c r="B20" s="8" t="s">
        <v>28</v>
      </c>
      <c r="C20" s="8" t="s">
        <v>28</v>
      </c>
      <c r="D20" s="8" t="s">
        <v>28</v>
      </c>
      <c r="E20" s="9" t="s">
        <v>28</v>
      </c>
      <c r="F20" s="8" t="s">
        <v>28</v>
      </c>
      <c r="G20" s="8" t="s">
        <v>28</v>
      </c>
      <c r="H20" s="8" t="s">
        <v>28</v>
      </c>
      <c r="I20" s="8" t="s">
        <v>28</v>
      </c>
    </row>
    <row r="21" ht="22" customHeight="1" spans="1:9" x14ac:dyDescent="0.25">
      <c r="A21" s="4" t="s">
        <v>28</v>
      </c>
      <c r="B21" s="5" t="s">
        <v>28</v>
      </c>
      <c r="C21" s="5" t="s">
        <v>28</v>
      </c>
      <c r="D21" s="5" t="s">
        <v>28</v>
      </c>
      <c r="E21" s="6" t="s">
        <v>28</v>
      </c>
      <c r="F21" s="5" t="s">
        <v>28</v>
      </c>
      <c r="G21" s="5" t="s">
        <v>28</v>
      </c>
      <c r="H21" s="5" t="s">
        <v>28</v>
      </c>
      <c r="I21" s="5" t="s">
        <v>28</v>
      </c>
    </row>
    <row r="22" ht="22" customHeight="1" spans="1:9" x14ac:dyDescent="0.25">
      <c r="A22" s="7" t="s">
        <v>28</v>
      </c>
      <c r="B22" s="8" t="s">
        <v>28</v>
      </c>
      <c r="C22" s="8" t="s">
        <v>28</v>
      </c>
      <c r="D22" s="8" t="s">
        <v>28</v>
      </c>
      <c r="E22" s="9" t="s">
        <v>28</v>
      </c>
      <c r="F22" s="8" t="s">
        <v>28</v>
      </c>
      <c r="G22" s="8" t="s">
        <v>28</v>
      </c>
      <c r="H22" s="8" t="s">
        <v>28</v>
      </c>
      <c r="I22" s="8" t="s">
        <v>28</v>
      </c>
    </row>
    <row r="23" ht="22" customHeight="1" spans="1:9" x14ac:dyDescent="0.25">
      <c r="A23" s="4" t="s">
        <v>28</v>
      </c>
      <c r="B23" s="5" t="s">
        <v>28</v>
      </c>
      <c r="C23" s="5" t="s">
        <v>28</v>
      </c>
      <c r="D23" s="5" t="s">
        <v>28</v>
      </c>
      <c r="E23" s="6" t="s">
        <v>28</v>
      </c>
      <c r="F23" s="5" t="s">
        <v>28</v>
      </c>
      <c r="G23" s="5" t="s">
        <v>28</v>
      </c>
      <c r="H23" s="5" t="s">
        <v>28</v>
      </c>
      <c r="I23" s="5" t="s">
        <v>28</v>
      </c>
    </row>
    <row r="24" ht="22" customHeight="1" spans="1:9" x14ac:dyDescent="0.25">
      <c r="A24" s="7" t="s">
        <v>28</v>
      </c>
      <c r="B24" s="8" t="s">
        <v>28</v>
      </c>
      <c r="C24" s="8" t="s">
        <v>28</v>
      </c>
      <c r="D24" s="8" t="s">
        <v>28</v>
      </c>
      <c r="E24" s="9" t="s">
        <v>28</v>
      </c>
      <c r="F24" s="8" t="s">
        <v>28</v>
      </c>
      <c r="G24" s="8" t="s">
        <v>28</v>
      </c>
      <c r="H24" s="8" t="s">
        <v>28</v>
      </c>
      <c r="I24" s="8" t="s">
        <v>28</v>
      </c>
    </row>
    <row r="25" ht="22" customHeight="1" spans="1:9" x14ac:dyDescent="0.25">
      <c r="A25" s="4" t="s">
        <v>28</v>
      </c>
      <c r="B25" s="5" t="s">
        <v>28</v>
      </c>
      <c r="C25" s="5" t="s">
        <v>28</v>
      </c>
      <c r="D25" s="5" t="s">
        <v>28</v>
      </c>
      <c r="E25" s="6" t="s">
        <v>28</v>
      </c>
      <c r="F25" s="5" t="s">
        <v>28</v>
      </c>
      <c r="G25" s="5" t="s">
        <v>28</v>
      </c>
      <c r="H25" s="5" t="s">
        <v>28</v>
      </c>
      <c r="I25" s="5" t="s">
        <v>28</v>
      </c>
    </row>
    <row r="26" ht="22" customHeight="1" spans="1:9" x14ac:dyDescent="0.25">
      <c r="A26" s="7" t="s">
        <v>28</v>
      </c>
      <c r="B26" s="8" t="s">
        <v>28</v>
      </c>
      <c r="C26" s="8" t="s">
        <v>28</v>
      </c>
      <c r="D26" s="8" t="s">
        <v>28</v>
      </c>
      <c r="E26" s="9" t="s">
        <v>28</v>
      </c>
      <c r="F26" s="8" t="s">
        <v>28</v>
      </c>
      <c r="G26" s="8" t="s">
        <v>28</v>
      </c>
      <c r="H26" s="8" t="s">
        <v>28</v>
      </c>
      <c r="I26" s="8" t="s">
        <v>28</v>
      </c>
    </row>
    <row r="27" ht="22" customHeight="1" spans="1:9" x14ac:dyDescent="0.25">
      <c r="A27" s="4" t="s">
        <v>28</v>
      </c>
      <c r="B27" s="5" t="s">
        <v>28</v>
      </c>
      <c r="C27" s="5" t="s">
        <v>28</v>
      </c>
      <c r="D27" s="5" t="s">
        <v>28</v>
      </c>
      <c r="E27" s="6" t="s">
        <v>28</v>
      </c>
      <c r="F27" s="5" t="s">
        <v>28</v>
      </c>
      <c r="G27" s="5" t="s">
        <v>28</v>
      </c>
      <c r="H27" s="5" t="s">
        <v>28</v>
      </c>
      <c r="I27" s="5" t="s">
        <v>28</v>
      </c>
    </row>
    <row r="28" ht="22" customHeight="1" spans="1:9" x14ac:dyDescent="0.25">
      <c r="A28" s="7" t="s">
        <v>28</v>
      </c>
      <c r="B28" s="8" t="s">
        <v>28</v>
      </c>
      <c r="C28" s="8" t="s">
        <v>28</v>
      </c>
      <c r="D28" s="8" t="s">
        <v>28</v>
      </c>
      <c r="E28" s="9" t="s">
        <v>28</v>
      </c>
      <c r="F28" s="8" t="s">
        <v>28</v>
      </c>
      <c r="G28" s="8" t="s">
        <v>28</v>
      </c>
      <c r="H28" s="8" t="s">
        <v>28</v>
      </c>
      <c r="I28" s="8" t="s">
        <v>28</v>
      </c>
    </row>
    <row r="29" ht="22" customHeight="1" spans="1:9" x14ac:dyDescent="0.25">
      <c r="A29" s="4" t="s">
        <v>28</v>
      </c>
      <c r="B29" s="5" t="s">
        <v>28</v>
      </c>
      <c r="C29" s="5" t="s">
        <v>28</v>
      </c>
      <c r="D29" s="5" t="s">
        <v>28</v>
      </c>
      <c r="E29" s="6" t="s">
        <v>28</v>
      </c>
      <c r="F29" s="5" t="s">
        <v>28</v>
      </c>
      <c r="G29" s="5" t="s">
        <v>28</v>
      </c>
      <c r="H29" s="5" t="s">
        <v>28</v>
      </c>
      <c r="I29" s="5" t="s">
        <v>28</v>
      </c>
    </row>
    <row r="30" ht="22" customHeight="1" spans="1:9" x14ac:dyDescent="0.25">
      <c r="A30" s="7" t="s">
        <v>28</v>
      </c>
      <c r="B30" s="8" t="s">
        <v>28</v>
      </c>
      <c r="C30" s="8" t="s">
        <v>28</v>
      </c>
      <c r="D30" s="8" t="s">
        <v>28</v>
      </c>
      <c r="E30" s="9" t="s">
        <v>28</v>
      </c>
      <c r="F30" s="8" t="s">
        <v>28</v>
      </c>
      <c r="G30" s="8" t="s">
        <v>28</v>
      </c>
      <c r="H30" s="8" t="s">
        <v>28</v>
      </c>
      <c r="I30" s="8" t="s">
        <v>28</v>
      </c>
    </row>
    <row r="31" ht="22" customHeight="1" spans="1:9" x14ac:dyDescent="0.25">
      <c r="A31" s="4" t="s">
        <v>28</v>
      </c>
      <c r="B31" s="5" t="s">
        <v>28</v>
      </c>
      <c r="C31" s="5" t="s">
        <v>28</v>
      </c>
      <c r="D31" s="5" t="s">
        <v>28</v>
      </c>
      <c r="E31" s="6" t="s">
        <v>28</v>
      </c>
      <c r="F31" s="5" t="s">
        <v>28</v>
      </c>
      <c r="G31" s="5" t="s">
        <v>28</v>
      </c>
      <c r="H31" s="5" t="s">
        <v>28</v>
      </c>
      <c r="I31" s="5" t="s">
        <v>28</v>
      </c>
    </row>
    <row r="32" ht="22" customHeight="1" spans="1:9" x14ac:dyDescent="0.25">
      <c r="A32" s="7" t="s">
        <v>28</v>
      </c>
      <c r="B32" s="8" t="s">
        <v>28</v>
      </c>
      <c r="C32" s="8" t="s">
        <v>28</v>
      </c>
      <c r="D32" s="8" t="s">
        <v>28</v>
      </c>
      <c r="E32" s="9" t="s">
        <v>28</v>
      </c>
      <c r="F32" s="8" t="s">
        <v>28</v>
      </c>
      <c r="G32" s="8" t="s">
        <v>28</v>
      </c>
      <c r="H32" s="8" t="s">
        <v>28</v>
      </c>
      <c r="I32" s="8" t="s">
        <v>28</v>
      </c>
    </row>
    <row r="33" ht="22" customHeight="1" spans="1:9" x14ac:dyDescent="0.25">
      <c r="A33" s="4" t="s">
        <v>28</v>
      </c>
      <c r="B33" s="5" t="s">
        <v>28</v>
      </c>
      <c r="C33" s="5" t="s">
        <v>28</v>
      </c>
      <c r="D33" s="5" t="s">
        <v>28</v>
      </c>
      <c r="E33" s="6" t="s">
        <v>28</v>
      </c>
      <c r="F33" s="5" t="s">
        <v>28</v>
      </c>
      <c r="G33" s="5" t="s">
        <v>28</v>
      </c>
      <c r="H33" s="5" t="s">
        <v>28</v>
      </c>
      <c r="I33" s="5" t="s">
        <v>28</v>
      </c>
    </row>
    <row r="34" ht="22" customHeight="1" spans="1:9" x14ac:dyDescent="0.25">
      <c r="A34" s="7" t="s">
        <v>28</v>
      </c>
      <c r="B34" s="8" t="s">
        <v>28</v>
      </c>
      <c r="C34" s="8" t="s">
        <v>28</v>
      </c>
      <c r="D34" s="8" t="s">
        <v>28</v>
      </c>
      <c r="E34" s="9" t="s">
        <v>28</v>
      </c>
      <c r="F34" s="8" t="s">
        <v>28</v>
      </c>
      <c r="G34" s="8" t="s">
        <v>28</v>
      </c>
      <c r="H34" s="8" t="s">
        <v>28</v>
      </c>
      <c r="I34" s="8" t="s">
        <v>28</v>
      </c>
    </row>
  </sheetData>
  <autoFilter ref="A4:I34"/>
  <mergeCells count="2">
    <mergeCell ref="A1:I1"/>
    <mergeCell ref="A2:I2"/>
  </mergeCells>
  <conditionalFormatting sqref="H5:H34">
    <cfRule type="cellIs" dxfId="0" priority="1" operator="equal">
      <formula>"Y"</formula>
    </cfRule>
  </conditionalFormatting>
  <dataValidations count="3">
    <dataValidation type="list" allowBlank="1" showErrorMessage="1" errorTitle="Invalid Category" error="Pick a category from the dropdown. These map to IRS Schedule E." sqref="C5:C34">
      <formula1>"Advertising,Auto/Travel,Cleaning/Maintenance,Commissions,Insurance,Legal/Professional,Management Fees,Mortgage Interest,Repairs,Supplies,Taxes,Utilities,Depreciation,Other"</formula1>
    </dataValidation>
    <dataValidation type="list" allowBlank="1" sqref="G5:G34">
      <formula1>"Y,N"</formula1>
    </dataValidation>
    <dataValidation type="list" allowBlank="1" sqref="H5:H34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9669"/>
  </sheetPr>
  <dimension ref="A1:N18"/>
  <sheetFormatPr defaultRowHeight="15" outlineLevelRow="0" outlineLevelCol="0" x14ac:dyDescent="55"/>
  <cols>
    <col min="1" max="1" width="26" customWidth="1"/>
    <col min="2" max="13" width="14" customWidth="1"/>
    <col min="14" max="14" width="16" customWidth="1"/>
  </cols>
  <sheetData>
    <row r="1" ht="32" customHeight="1" spans="1:14" x14ac:dyDescent="0.25">
      <c r="A1" s="10" t="s">
        <v>55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6" customHeight="1" x14ac:dyDescent="0.25"/>
    <row r="3" ht="28" customHeight="1" spans="1:14" x14ac:dyDescent="0.25">
      <c r="A3" s="3" t="s">
        <v>4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66</v>
      </c>
      <c r="M3" s="3" t="s">
        <v>67</v>
      </c>
      <c r="N3" s="3" t="s">
        <v>68</v>
      </c>
    </row>
    <row r="4" ht="22" customHeight="1" spans="1:14" x14ac:dyDescent="0.25">
      <c r="A4" s="11" t="s">
        <v>42</v>
      </c>
      <c r="B4" s="6">
        <f>SUMPRODUCT((MONTH(Expenses!A5:A34)=1)*(Expenses!C5:C34="Advertising")*Expenses!E5:E34)</f>
      </c>
      <c r="C4" s="6">
        <f>SUMPRODUCT((MONTH(Expenses!A5:A34)=2)*(Expenses!C5:C34="Advertising")*Expenses!E5:E34)</f>
      </c>
      <c r="D4" s="6">
        <f>SUMPRODUCT((MONTH(Expenses!A5:A34)=3)*(Expenses!C5:C34="Advertising")*Expenses!E5:E34)</f>
      </c>
      <c r="E4" s="6">
        <f>SUMPRODUCT((MONTH(Expenses!A5:A34)=4)*(Expenses!C5:C34="Advertising")*Expenses!E5:E34)</f>
      </c>
      <c r="F4" s="6">
        <f>SUMPRODUCT((MONTH(Expenses!A5:A34)=5)*(Expenses!C5:C34="Advertising")*Expenses!E5:E34)</f>
      </c>
      <c r="G4" s="6">
        <f>SUMPRODUCT((MONTH(Expenses!A5:A34)=6)*(Expenses!C5:C34="Advertising")*Expenses!E5:E34)</f>
      </c>
      <c r="H4" s="6">
        <f>SUMPRODUCT((MONTH(Expenses!A5:A34)=7)*(Expenses!C5:C34="Advertising")*Expenses!E5:E34)</f>
      </c>
      <c r="I4" s="6">
        <f>SUMPRODUCT((MONTH(Expenses!A5:A34)=8)*(Expenses!C5:C34="Advertising")*Expenses!E5:E34)</f>
      </c>
      <c r="J4" s="6">
        <f>SUMPRODUCT((MONTH(Expenses!A5:A34)=9)*(Expenses!C5:C34="Advertising")*Expenses!E5:E34)</f>
      </c>
      <c r="K4" s="6">
        <f>SUMPRODUCT((MONTH(Expenses!A5:A34)=10)*(Expenses!C5:C34="Advertising")*Expenses!E5:E34)</f>
      </c>
      <c r="L4" s="6">
        <f>SUMPRODUCT((MONTH(Expenses!A5:A34)=11)*(Expenses!C5:C34="Advertising")*Expenses!E5:E34)</f>
      </c>
      <c r="M4" s="6">
        <f>SUMPRODUCT((MONTH(Expenses!A5:A34)=12)*(Expenses!C5:C34="Advertising")*Expenses!E5:E34)</f>
      </c>
      <c r="N4" s="12">
        <f>SUM(B4:M4)</f>
      </c>
    </row>
    <row r="5" ht="22" customHeight="1" spans="1:14" x14ac:dyDescent="0.25">
      <c r="A5" s="13" t="s">
        <v>69</v>
      </c>
      <c r="B5" s="9">
        <f>SUMPRODUCT((MONTH(Expenses!A5:A34)=1)*(Expenses!C5:C34="Auto/Travel")*Expenses!E5:E34)</f>
      </c>
      <c r="C5" s="9">
        <f>SUMPRODUCT((MONTH(Expenses!A5:A34)=2)*(Expenses!C5:C34="Auto/Travel")*Expenses!E5:E34)</f>
      </c>
      <c r="D5" s="9">
        <f>SUMPRODUCT((MONTH(Expenses!A5:A34)=3)*(Expenses!C5:C34="Auto/Travel")*Expenses!E5:E34)</f>
      </c>
      <c r="E5" s="9">
        <f>SUMPRODUCT((MONTH(Expenses!A5:A34)=4)*(Expenses!C5:C34="Auto/Travel")*Expenses!E5:E34)</f>
      </c>
      <c r="F5" s="9">
        <f>SUMPRODUCT((MONTH(Expenses!A5:A34)=5)*(Expenses!C5:C34="Auto/Travel")*Expenses!E5:E34)</f>
      </c>
      <c r="G5" s="9">
        <f>SUMPRODUCT((MONTH(Expenses!A5:A34)=6)*(Expenses!C5:C34="Auto/Travel")*Expenses!E5:E34)</f>
      </c>
      <c r="H5" s="9">
        <f>SUMPRODUCT((MONTH(Expenses!A5:A34)=7)*(Expenses!C5:C34="Auto/Travel")*Expenses!E5:E34)</f>
      </c>
      <c r="I5" s="9">
        <f>SUMPRODUCT((MONTH(Expenses!A5:A34)=8)*(Expenses!C5:C34="Auto/Travel")*Expenses!E5:E34)</f>
      </c>
      <c r="J5" s="9">
        <f>SUMPRODUCT((MONTH(Expenses!A5:A34)=9)*(Expenses!C5:C34="Auto/Travel")*Expenses!E5:E34)</f>
      </c>
      <c r="K5" s="9">
        <f>SUMPRODUCT((MONTH(Expenses!A5:A34)=10)*(Expenses!C5:C34="Auto/Travel")*Expenses!E5:E34)</f>
      </c>
      <c r="L5" s="9">
        <f>SUMPRODUCT((MONTH(Expenses!A5:A34)=11)*(Expenses!C5:C34="Auto/Travel")*Expenses!E5:E34)</f>
      </c>
      <c r="M5" s="9">
        <f>SUMPRODUCT((MONTH(Expenses!A5:A34)=12)*(Expenses!C5:C34="Auto/Travel")*Expenses!E5:E34)</f>
      </c>
      <c r="N5" s="14">
        <f>SUM(B5:M5)</f>
      </c>
    </row>
    <row r="6" ht="22" customHeight="1" spans="1:14" x14ac:dyDescent="0.25">
      <c r="A6" s="11" t="s">
        <v>25</v>
      </c>
      <c r="B6" s="6">
        <f>SUMPRODUCT((MONTH(Expenses!A5:A34)=1)*(Expenses!C5:C34="Cleaning/Maintenance")*Expenses!E5:E34)</f>
      </c>
      <c r="C6" s="6">
        <f>SUMPRODUCT((MONTH(Expenses!A5:A34)=2)*(Expenses!C5:C34="Cleaning/Maintenance")*Expenses!E5:E34)</f>
      </c>
      <c r="D6" s="6">
        <f>SUMPRODUCT((MONTH(Expenses!A5:A34)=3)*(Expenses!C5:C34="Cleaning/Maintenance")*Expenses!E5:E34)</f>
      </c>
      <c r="E6" s="6">
        <f>SUMPRODUCT((MONTH(Expenses!A5:A34)=4)*(Expenses!C5:C34="Cleaning/Maintenance")*Expenses!E5:E34)</f>
      </c>
      <c r="F6" s="6">
        <f>SUMPRODUCT((MONTH(Expenses!A5:A34)=5)*(Expenses!C5:C34="Cleaning/Maintenance")*Expenses!E5:E34)</f>
      </c>
      <c r="G6" s="6">
        <f>SUMPRODUCT((MONTH(Expenses!A5:A34)=6)*(Expenses!C5:C34="Cleaning/Maintenance")*Expenses!E5:E34)</f>
      </c>
      <c r="H6" s="6">
        <f>SUMPRODUCT((MONTH(Expenses!A5:A34)=7)*(Expenses!C5:C34="Cleaning/Maintenance")*Expenses!E5:E34)</f>
      </c>
      <c r="I6" s="6">
        <f>SUMPRODUCT((MONTH(Expenses!A5:A34)=8)*(Expenses!C5:C34="Cleaning/Maintenance")*Expenses!E5:E34)</f>
      </c>
      <c r="J6" s="6">
        <f>SUMPRODUCT((MONTH(Expenses!A5:A34)=9)*(Expenses!C5:C34="Cleaning/Maintenance")*Expenses!E5:E34)</f>
      </c>
      <c r="K6" s="6">
        <f>SUMPRODUCT((MONTH(Expenses!A5:A34)=10)*(Expenses!C5:C34="Cleaning/Maintenance")*Expenses!E5:E34)</f>
      </c>
      <c r="L6" s="6">
        <f>SUMPRODUCT((MONTH(Expenses!A5:A34)=11)*(Expenses!C5:C34="Cleaning/Maintenance")*Expenses!E5:E34)</f>
      </c>
      <c r="M6" s="6">
        <f>SUMPRODUCT((MONTH(Expenses!A5:A34)=12)*(Expenses!C5:C34="Cleaning/Maintenance")*Expenses!E5:E34)</f>
      </c>
      <c r="N6" s="12">
        <f>SUM(B6:M6)</f>
      </c>
    </row>
    <row r="7" ht="22" customHeight="1" spans="1:14" x14ac:dyDescent="0.25">
      <c r="A7" s="13" t="s">
        <v>70</v>
      </c>
      <c r="B7" s="9">
        <f>SUMPRODUCT((MONTH(Expenses!A5:A34)=1)*(Expenses!C5:C34="Commissions")*Expenses!E5:E34)</f>
      </c>
      <c r="C7" s="9">
        <f>SUMPRODUCT((MONTH(Expenses!A5:A34)=2)*(Expenses!C5:C34="Commissions")*Expenses!E5:E34)</f>
      </c>
      <c r="D7" s="9">
        <f>SUMPRODUCT((MONTH(Expenses!A5:A34)=3)*(Expenses!C5:C34="Commissions")*Expenses!E5:E34)</f>
      </c>
      <c r="E7" s="9">
        <f>SUMPRODUCT((MONTH(Expenses!A5:A34)=4)*(Expenses!C5:C34="Commissions")*Expenses!E5:E34)</f>
      </c>
      <c r="F7" s="9">
        <f>SUMPRODUCT((MONTH(Expenses!A5:A34)=5)*(Expenses!C5:C34="Commissions")*Expenses!E5:E34)</f>
      </c>
      <c r="G7" s="9">
        <f>SUMPRODUCT((MONTH(Expenses!A5:A34)=6)*(Expenses!C5:C34="Commissions")*Expenses!E5:E34)</f>
      </c>
      <c r="H7" s="9">
        <f>SUMPRODUCT((MONTH(Expenses!A5:A34)=7)*(Expenses!C5:C34="Commissions")*Expenses!E5:E34)</f>
      </c>
      <c r="I7" s="9">
        <f>SUMPRODUCT((MONTH(Expenses!A5:A34)=8)*(Expenses!C5:C34="Commissions")*Expenses!E5:E34)</f>
      </c>
      <c r="J7" s="9">
        <f>SUMPRODUCT((MONTH(Expenses!A5:A34)=9)*(Expenses!C5:C34="Commissions")*Expenses!E5:E34)</f>
      </c>
      <c r="K7" s="9">
        <f>SUMPRODUCT((MONTH(Expenses!A5:A34)=10)*(Expenses!C5:C34="Commissions")*Expenses!E5:E34)</f>
      </c>
      <c r="L7" s="9">
        <f>SUMPRODUCT((MONTH(Expenses!A5:A34)=11)*(Expenses!C5:C34="Commissions")*Expenses!E5:E34)</f>
      </c>
      <c r="M7" s="9">
        <f>SUMPRODUCT((MONTH(Expenses!A5:A34)=12)*(Expenses!C5:C34="Commissions")*Expenses!E5:E34)</f>
      </c>
      <c r="N7" s="14">
        <f>SUM(B7:M7)</f>
      </c>
    </row>
    <row r="8" ht="22" customHeight="1" spans="1:14" x14ac:dyDescent="0.25">
      <c r="A8" s="11" t="s">
        <v>19</v>
      </c>
      <c r="B8" s="6">
        <f>SUMPRODUCT((MONTH(Expenses!A5:A34)=1)*(Expenses!C5:C34="Insurance")*Expenses!E5:E34)</f>
      </c>
      <c r="C8" s="6">
        <f>SUMPRODUCT((MONTH(Expenses!A5:A34)=2)*(Expenses!C5:C34="Insurance")*Expenses!E5:E34)</f>
      </c>
      <c r="D8" s="6">
        <f>SUMPRODUCT((MONTH(Expenses!A5:A34)=3)*(Expenses!C5:C34="Insurance")*Expenses!E5:E34)</f>
      </c>
      <c r="E8" s="6">
        <f>SUMPRODUCT((MONTH(Expenses!A5:A34)=4)*(Expenses!C5:C34="Insurance")*Expenses!E5:E34)</f>
      </c>
      <c r="F8" s="6">
        <f>SUMPRODUCT((MONTH(Expenses!A5:A34)=5)*(Expenses!C5:C34="Insurance")*Expenses!E5:E34)</f>
      </c>
      <c r="G8" s="6">
        <f>SUMPRODUCT((MONTH(Expenses!A5:A34)=6)*(Expenses!C5:C34="Insurance")*Expenses!E5:E34)</f>
      </c>
      <c r="H8" s="6">
        <f>SUMPRODUCT((MONTH(Expenses!A5:A34)=7)*(Expenses!C5:C34="Insurance")*Expenses!E5:E34)</f>
      </c>
      <c r="I8" s="6">
        <f>SUMPRODUCT((MONTH(Expenses!A5:A34)=8)*(Expenses!C5:C34="Insurance")*Expenses!E5:E34)</f>
      </c>
      <c r="J8" s="6">
        <f>SUMPRODUCT((MONTH(Expenses!A5:A34)=9)*(Expenses!C5:C34="Insurance")*Expenses!E5:E34)</f>
      </c>
      <c r="K8" s="6">
        <f>SUMPRODUCT((MONTH(Expenses!A5:A34)=10)*(Expenses!C5:C34="Insurance")*Expenses!E5:E34)</f>
      </c>
      <c r="L8" s="6">
        <f>SUMPRODUCT((MONTH(Expenses!A5:A34)=11)*(Expenses!C5:C34="Insurance")*Expenses!E5:E34)</f>
      </c>
      <c r="M8" s="6">
        <f>SUMPRODUCT((MONTH(Expenses!A5:A34)=12)*(Expenses!C5:C34="Insurance")*Expenses!E5:E34)</f>
      </c>
      <c r="N8" s="12">
        <f>SUM(B8:M8)</f>
      </c>
    </row>
    <row r="9" ht="22" customHeight="1" spans="1:14" x14ac:dyDescent="0.25">
      <c r="A9" s="13" t="s">
        <v>45</v>
      </c>
      <c r="B9" s="9">
        <f>SUMPRODUCT((MONTH(Expenses!A5:A34)=1)*(Expenses!C5:C34="Legal/Professional")*Expenses!E5:E34)</f>
      </c>
      <c r="C9" s="9">
        <f>SUMPRODUCT((MONTH(Expenses!A5:A34)=2)*(Expenses!C5:C34="Legal/Professional")*Expenses!E5:E34)</f>
      </c>
      <c r="D9" s="9">
        <f>SUMPRODUCT((MONTH(Expenses!A5:A34)=3)*(Expenses!C5:C34="Legal/Professional")*Expenses!E5:E34)</f>
      </c>
      <c r="E9" s="9">
        <f>SUMPRODUCT((MONTH(Expenses!A5:A34)=4)*(Expenses!C5:C34="Legal/Professional")*Expenses!E5:E34)</f>
      </c>
      <c r="F9" s="9">
        <f>SUMPRODUCT((MONTH(Expenses!A5:A34)=5)*(Expenses!C5:C34="Legal/Professional")*Expenses!E5:E34)</f>
      </c>
      <c r="G9" s="9">
        <f>SUMPRODUCT((MONTH(Expenses!A5:A34)=6)*(Expenses!C5:C34="Legal/Professional")*Expenses!E5:E34)</f>
      </c>
      <c r="H9" s="9">
        <f>SUMPRODUCT((MONTH(Expenses!A5:A34)=7)*(Expenses!C5:C34="Legal/Professional")*Expenses!E5:E34)</f>
      </c>
      <c r="I9" s="9">
        <f>SUMPRODUCT((MONTH(Expenses!A5:A34)=8)*(Expenses!C5:C34="Legal/Professional")*Expenses!E5:E34)</f>
      </c>
      <c r="J9" s="9">
        <f>SUMPRODUCT((MONTH(Expenses!A5:A34)=9)*(Expenses!C5:C34="Legal/Professional")*Expenses!E5:E34)</f>
      </c>
      <c r="K9" s="9">
        <f>SUMPRODUCT((MONTH(Expenses!A5:A34)=10)*(Expenses!C5:C34="Legal/Professional")*Expenses!E5:E34)</f>
      </c>
      <c r="L9" s="9">
        <f>SUMPRODUCT((MONTH(Expenses!A5:A34)=11)*(Expenses!C5:C34="Legal/Professional")*Expenses!E5:E34)</f>
      </c>
      <c r="M9" s="9">
        <f>SUMPRODUCT((MONTH(Expenses!A5:A34)=12)*(Expenses!C5:C34="Legal/Professional")*Expenses!E5:E34)</f>
      </c>
      <c r="N9" s="14">
        <f>SUM(B9:M9)</f>
      </c>
    </row>
    <row r="10" ht="22" customHeight="1" spans="1:14" x14ac:dyDescent="0.25">
      <c r="A10" s="11" t="s">
        <v>49</v>
      </c>
      <c r="B10" s="6">
        <f>SUMPRODUCT((MONTH(Expenses!A5:A34)=1)*(Expenses!C5:C34="Management Fees")*Expenses!E5:E34)</f>
      </c>
      <c r="C10" s="6">
        <f>SUMPRODUCT((MONTH(Expenses!A5:A34)=2)*(Expenses!C5:C34="Management Fees")*Expenses!E5:E34)</f>
      </c>
      <c r="D10" s="6">
        <f>SUMPRODUCT((MONTH(Expenses!A5:A34)=3)*(Expenses!C5:C34="Management Fees")*Expenses!E5:E34)</f>
      </c>
      <c r="E10" s="6">
        <f>SUMPRODUCT((MONTH(Expenses!A5:A34)=4)*(Expenses!C5:C34="Management Fees")*Expenses!E5:E34)</f>
      </c>
      <c r="F10" s="6">
        <f>SUMPRODUCT((MONTH(Expenses!A5:A34)=5)*(Expenses!C5:C34="Management Fees")*Expenses!E5:E34)</f>
      </c>
      <c r="G10" s="6">
        <f>SUMPRODUCT((MONTH(Expenses!A5:A34)=6)*(Expenses!C5:C34="Management Fees")*Expenses!E5:E34)</f>
      </c>
      <c r="H10" s="6">
        <f>SUMPRODUCT((MONTH(Expenses!A5:A34)=7)*(Expenses!C5:C34="Management Fees")*Expenses!E5:E34)</f>
      </c>
      <c r="I10" s="6">
        <f>SUMPRODUCT((MONTH(Expenses!A5:A34)=8)*(Expenses!C5:C34="Management Fees")*Expenses!E5:E34)</f>
      </c>
      <c r="J10" s="6">
        <f>SUMPRODUCT((MONTH(Expenses!A5:A34)=9)*(Expenses!C5:C34="Management Fees")*Expenses!E5:E34)</f>
      </c>
      <c r="K10" s="6">
        <f>SUMPRODUCT((MONTH(Expenses!A5:A34)=10)*(Expenses!C5:C34="Management Fees")*Expenses!E5:E34)</f>
      </c>
      <c r="L10" s="6">
        <f>SUMPRODUCT((MONTH(Expenses!A5:A34)=11)*(Expenses!C5:C34="Management Fees")*Expenses!E5:E34)</f>
      </c>
      <c r="M10" s="6">
        <f>SUMPRODUCT((MONTH(Expenses!A5:A34)=12)*(Expenses!C5:C34="Management Fees")*Expenses!E5:E34)</f>
      </c>
      <c r="N10" s="12">
        <f>SUM(B10:M10)</f>
      </c>
    </row>
    <row r="11" ht="22" customHeight="1" spans="1:14" x14ac:dyDescent="0.25">
      <c r="A11" s="13" t="s">
        <v>34</v>
      </c>
      <c r="B11" s="9">
        <f>SUMPRODUCT((MONTH(Expenses!A5:A34)=1)*(Expenses!C5:C34="Mortgage Interest")*Expenses!E5:E34)</f>
      </c>
      <c r="C11" s="9">
        <f>SUMPRODUCT((MONTH(Expenses!A5:A34)=2)*(Expenses!C5:C34="Mortgage Interest")*Expenses!E5:E34)</f>
      </c>
      <c r="D11" s="9">
        <f>SUMPRODUCT((MONTH(Expenses!A5:A34)=3)*(Expenses!C5:C34="Mortgage Interest")*Expenses!E5:E34)</f>
      </c>
      <c r="E11" s="9">
        <f>SUMPRODUCT((MONTH(Expenses!A5:A34)=4)*(Expenses!C5:C34="Mortgage Interest")*Expenses!E5:E34)</f>
      </c>
      <c r="F11" s="9">
        <f>SUMPRODUCT((MONTH(Expenses!A5:A34)=5)*(Expenses!C5:C34="Mortgage Interest")*Expenses!E5:E34)</f>
      </c>
      <c r="G11" s="9">
        <f>SUMPRODUCT((MONTH(Expenses!A5:A34)=6)*(Expenses!C5:C34="Mortgage Interest")*Expenses!E5:E34)</f>
      </c>
      <c r="H11" s="9">
        <f>SUMPRODUCT((MONTH(Expenses!A5:A34)=7)*(Expenses!C5:C34="Mortgage Interest")*Expenses!E5:E34)</f>
      </c>
      <c r="I11" s="9">
        <f>SUMPRODUCT((MONTH(Expenses!A5:A34)=8)*(Expenses!C5:C34="Mortgage Interest")*Expenses!E5:E34)</f>
      </c>
      <c r="J11" s="9">
        <f>SUMPRODUCT((MONTH(Expenses!A5:A34)=9)*(Expenses!C5:C34="Mortgage Interest")*Expenses!E5:E34)</f>
      </c>
      <c r="K11" s="9">
        <f>SUMPRODUCT((MONTH(Expenses!A5:A34)=10)*(Expenses!C5:C34="Mortgage Interest")*Expenses!E5:E34)</f>
      </c>
      <c r="L11" s="9">
        <f>SUMPRODUCT((MONTH(Expenses!A5:A34)=11)*(Expenses!C5:C34="Mortgage Interest")*Expenses!E5:E34)</f>
      </c>
      <c r="M11" s="9">
        <f>SUMPRODUCT((MONTH(Expenses!A5:A34)=12)*(Expenses!C5:C34="Mortgage Interest")*Expenses!E5:E34)</f>
      </c>
      <c r="N11" s="14">
        <f>SUM(B11:M11)</f>
      </c>
    </row>
    <row r="12" ht="22" customHeight="1" spans="1:14" x14ac:dyDescent="0.25">
      <c r="A12" s="11" t="s">
        <v>13</v>
      </c>
      <c r="B12" s="6">
        <f>SUMPRODUCT((MONTH(Expenses!A5:A34)=1)*(Expenses!C5:C34="Repairs")*Expenses!E5:E34)</f>
      </c>
      <c r="C12" s="6">
        <f>SUMPRODUCT((MONTH(Expenses!A5:A34)=2)*(Expenses!C5:C34="Repairs")*Expenses!E5:E34)</f>
      </c>
      <c r="D12" s="6">
        <f>SUMPRODUCT((MONTH(Expenses!A5:A34)=3)*(Expenses!C5:C34="Repairs")*Expenses!E5:E34)</f>
      </c>
      <c r="E12" s="6">
        <f>SUMPRODUCT((MONTH(Expenses!A5:A34)=4)*(Expenses!C5:C34="Repairs")*Expenses!E5:E34)</f>
      </c>
      <c r="F12" s="6">
        <f>SUMPRODUCT((MONTH(Expenses!A5:A34)=5)*(Expenses!C5:C34="Repairs")*Expenses!E5:E34)</f>
      </c>
      <c r="G12" s="6">
        <f>SUMPRODUCT((MONTH(Expenses!A5:A34)=6)*(Expenses!C5:C34="Repairs")*Expenses!E5:E34)</f>
      </c>
      <c r="H12" s="6">
        <f>SUMPRODUCT((MONTH(Expenses!A5:A34)=7)*(Expenses!C5:C34="Repairs")*Expenses!E5:E34)</f>
      </c>
      <c r="I12" s="6">
        <f>SUMPRODUCT((MONTH(Expenses!A5:A34)=8)*(Expenses!C5:C34="Repairs")*Expenses!E5:E34)</f>
      </c>
      <c r="J12" s="6">
        <f>SUMPRODUCT((MONTH(Expenses!A5:A34)=9)*(Expenses!C5:C34="Repairs")*Expenses!E5:E34)</f>
      </c>
      <c r="K12" s="6">
        <f>SUMPRODUCT((MONTH(Expenses!A5:A34)=10)*(Expenses!C5:C34="Repairs")*Expenses!E5:E34)</f>
      </c>
      <c r="L12" s="6">
        <f>SUMPRODUCT((MONTH(Expenses!A5:A34)=11)*(Expenses!C5:C34="Repairs")*Expenses!E5:E34)</f>
      </c>
      <c r="M12" s="6">
        <f>SUMPRODUCT((MONTH(Expenses!A5:A34)=12)*(Expenses!C5:C34="Repairs")*Expenses!E5:E34)</f>
      </c>
      <c r="N12" s="12">
        <f>SUM(B12:M12)</f>
      </c>
    </row>
    <row r="13" ht="22" customHeight="1" spans="1:14" x14ac:dyDescent="0.25">
      <c r="A13" s="13" t="s">
        <v>38</v>
      </c>
      <c r="B13" s="9">
        <f>SUMPRODUCT((MONTH(Expenses!A5:A34)=1)*(Expenses!C5:C34="Supplies")*Expenses!E5:E34)</f>
      </c>
      <c r="C13" s="9">
        <f>SUMPRODUCT((MONTH(Expenses!A5:A34)=2)*(Expenses!C5:C34="Supplies")*Expenses!E5:E34)</f>
      </c>
      <c r="D13" s="9">
        <f>SUMPRODUCT((MONTH(Expenses!A5:A34)=3)*(Expenses!C5:C34="Supplies")*Expenses!E5:E34)</f>
      </c>
      <c r="E13" s="9">
        <f>SUMPRODUCT((MONTH(Expenses!A5:A34)=4)*(Expenses!C5:C34="Supplies")*Expenses!E5:E34)</f>
      </c>
      <c r="F13" s="9">
        <f>SUMPRODUCT((MONTH(Expenses!A5:A34)=5)*(Expenses!C5:C34="Supplies")*Expenses!E5:E34)</f>
      </c>
      <c r="G13" s="9">
        <f>SUMPRODUCT((MONTH(Expenses!A5:A34)=6)*(Expenses!C5:C34="Supplies")*Expenses!E5:E34)</f>
      </c>
      <c r="H13" s="9">
        <f>SUMPRODUCT((MONTH(Expenses!A5:A34)=7)*(Expenses!C5:C34="Supplies")*Expenses!E5:E34)</f>
      </c>
      <c r="I13" s="9">
        <f>SUMPRODUCT((MONTH(Expenses!A5:A34)=8)*(Expenses!C5:C34="Supplies")*Expenses!E5:E34)</f>
      </c>
      <c r="J13" s="9">
        <f>SUMPRODUCT((MONTH(Expenses!A5:A34)=9)*(Expenses!C5:C34="Supplies")*Expenses!E5:E34)</f>
      </c>
      <c r="K13" s="9">
        <f>SUMPRODUCT((MONTH(Expenses!A5:A34)=10)*(Expenses!C5:C34="Supplies")*Expenses!E5:E34)</f>
      </c>
      <c r="L13" s="9">
        <f>SUMPRODUCT((MONTH(Expenses!A5:A34)=11)*(Expenses!C5:C34="Supplies")*Expenses!E5:E34)</f>
      </c>
      <c r="M13" s="9">
        <f>SUMPRODUCT((MONTH(Expenses!A5:A34)=12)*(Expenses!C5:C34="Supplies")*Expenses!E5:E34)</f>
      </c>
      <c r="N13" s="14">
        <f>SUM(B13:M13)</f>
      </c>
    </row>
    <row r="14" ht="22" customHeight="1" spans="1:14" x14ac:dyDescent="0.25">
      <c r="A14" s="11" t="s">
        <v>53</v>
      </c>
      <c r="B14" s="6">
        <f>SUMPRODUCT((MONTH(Expenses!A5:A34)=1)*(Expenses!C5:C34="Taxes")*Expenses!E5:E34)</f>
      </c>
      <c r="C14" s="6">
        <f>SUMPRODUCT((MONTH(Expenses!A5:A34)=2)*(Expenses!C5:C34="Taxes")*Expenses!E5:E34)</f>
      </c>
      <c r="D14" s="6">
        <f>SUMPRODUCT((MONTH(Expenses!A5:A34)=3)*(Expenses!C5:C34="Taxes")*Expenses!E5:E34)</f>
      </c>
      <c r="E14" s="6">
        <f>SUMPRODUCT((MONTH(Expenses!A5:A34)=4)*(Expenses!C5:C34="Taxes")*Expenses!E5:E34)</f>
      </c>
      <c r="F14" s="6">
        <f>SUMPRODUCT((MONTH(Expenses!A5:A34)=5)*(Expenses!C5:C34="Taxes")*Expenses!E5:E34)</f>
      </c>
      <c r="G14" s="6">
        <f>SUMPRODUCT((MONTH(Expenses!A5:A34)=6)*(Expenses!C5:C34="Taxes")*Expenses!E5:E34)</f>
      </c>
      <c r="H14" s="6">
        <f>SUMPRODUCT((MONTH(Expenses!A5:A34)=7)*(Expenses!C5:C34="Taxes")*Expenses!E5:E34)</f>
      </c>
      <c r="I14" s="6">
        <f>SUMPRODUCT((MONTH(Expenses!A5:A34)=8)*(Expenses!C5:C34="Taxes")*Expenses!E5:E34)</f>
      </c>
      <c r="J14" s="6">
        <f>SUMPRODUCT((MONTH(Expenses!A5:A34)=9)*(Expenses!C5:C34="Taxes")*Expenses!E5:E34)</f>
      </c>
      <c r="K14" s="6">
        <f>SUMPRODUCT((MONTH(Expenses!A5:A34)=10)*(Expenses!C5:C34="Taxes")*Expenses!E5:E34)</f>
      </c>
      <c r="L14" s="6">
        <f>SUMPRODUCT((MONTH(Expenses!A5:A34)=11)*(Expenses!C5:C34="Taxes")*Expenses!E5:E34)</f>
      </c>
      <c r="M14" s="6">
        <f>SUMPRODUCT((MONTH(Expenses!A5:A34)=12)*(Expenses!C5:C34="Taxes")*Expenses!E5:E34)</f>
      </c>
      <c r="N14" s="12">
        <f>SUM(B14:M14)</f>
      </c>
    </row>
    <row r="15" ht="22" customHeight="1" spans="1:14" x14ac:dyDescent="0.25">
      <c r="A15" s="13" t="s">
        <v>30</v>
      </c>
      <c r="B15" s="9">
        <f>SUMPRODUCT((MONTH(Expenses!A5:A34)=1)*(Expenses!C5:C34="Utilities")*Expenses!E5:E34)</f>
      </c>
      <c r="C15" s="9">
        <f>SUMPRODUCT((MONTH(Expenses!A5:A34)=2)*(Expenses!C5:C34="Utilities")*Expenses!E5:E34)</f>
      </c>
      <c r="D15" s="9">
        <f>SUMPRODUCT((MONTH(Expenses!A5:A34)=3)*(Expenses!C5:C34="Utilities")*Expenses!E5:E34)</f>
      </c>
      <c r="E15" s="9">
        <f>SUMPRODUCT((MONTH(Expenses!A5:A34)=4)*(Expenses!C5:C34="Utilities")*Expenses!E5:E34)</f>
      </c>
      <c r="F15" s="9">
        <f>SUMPRODUCT((MONTH(Expenses!A5:A34)=5)*(Expenses!C5:C34="Utilities")*Expenses!E5:E34)</f>
      </c>
      <c r="G15" s="9">
        <f>SUMPRODUCT((MONTH(Expenses!A5:A34)=6)*(Expenses!C5:C34="Utilities")*Expenses!E5:E34)</f>
      </c>
      <c r="H15" s="9">
        <f>SUMPRODUCT((MONTH(Expenses!A5:A34)=7)*(Expenses!C5:C34="Utilities")*Expenses!E5:E34)</f>
      </c>
      <c r="I15" s="9">
        <f>SUMPRODUCT((MONTH(Expenses!A5:A34)=8)*(Expenses!C5:C34="Utilities")*Expenses!E5:E34)</f>
      </c>
      <c r="J15" s="9">
        <f>SUMPRODUCT((MONTH(Expenses!A5:A34)=9)*(Expenses!C5:C34="Utilities")*Expenses!E5:E34)</f>
      </c>
      <c r="K15" s="9">
        <f>SUMPRODUCT((MONTH(Expenses!A5:A34)=10)*(Expenses!C5:C34="Utilities")*Expenses!E5:E34)</f>
      </c>
      <c r="L15" s="9">
        <f>SUMPRODUCT((MONTH(Expenses!A5:A34)=11)*(Expenses!C5:C34="Utilities")*Expenses!E5:E34)</f>
      </c>
      <c r="M15" s="9">
        <f>SUMPRODUCT((MONTH(Expenses!A5:A34)=12)*(Expenses!C5:C34="Utilities")*Expenses!E5:E34)</f>
      </c>
      <c r="N15" s="14">
        <f>SUM(B15:M15)</f>
      </c>
    </row>
    <row r="16" ht="22" customHeight="1" spans="1:14" x14ac:dyDescent="0.25">
      <c r="A16" s="11" t="s">
        <v>71</v>
      </c>
      <c r="B16" s="6">
        <f>SUMPRODUCT((MONTH(Expenses!A5:A34)=1)*(Expenses!C5:C34="Depreciation")*Expenses!E5:E34)</f>
      </c>
      <c r="C16" s="6">
        <f>SUMPRODUCT((MONTH(Expenses!A5:A34)=2)*(Expenses!C5:C34="Depreciation")*Expenses!E5:E34)</f>
      </c>
      <c r="D16" s="6">
        <f>SUMPRODUCT((MONTH(Expenses!A5:A34)=3)*(Expenses!C5:C34="Depreciation")*Expenses!E5:E34)</f>
      </c>
      <c r="E16" s="6">
        <f>SUMPRODUCT((MONTH(Expenses!A5:A34)=4)*(Expenses!C5:C34="Depreciation")*Expenses!E5:E34)</f>
      </c>
      <c r="F16" s="6">
        <f>SUMPRODUCT((MONTH(Expenses!A5:A34)=5)*(Expenses!C5:C34="Depreciation")*Expenses!E5:E34)</f>
      </c>
      <c r="G16" s="6">
        <f>SUMPRODUCT((MONTH(Expenses!A5:A34)=6)*(Expenses!C5:C34="Depreciation")*Expenses!E5:E34)</f>
      </c>
      <c r="H16" s="6">
        <f>SUMPRODUCT((MONTH(Expenses!A5:A34)=7)*(Expenses!C5:C34="Depreciation")*Expenses!E5:E34)</f>
      </c>
      <c r="I16" s="6">
        <f>SUMPRODUCT((MONTH(Expenses!A5:A34)=8)*(Expenses!C5:C34="Depreciation")*Expenses!E5:E34)</f>
      </c>
      <c r="J16" s="6">
        <f>SUMPRODUCT((MONTH(Expenses!A5:A34)=9)*(Expenses!C5:C34="Depreciation")*Expenses!E5:E34)</f>
      </c>
      <c r="K16" s="6">
        <f>SUMPRODUCT((MONTH(Expenses!A5:A34)=10)*(Expenses!C5:C34="Depreciation")*Expenses!E5:E34)</f>
      </c>
      <c r="L16" s="6">
        <f>SUMPRODUCT((MONTH(Expenses!A5:A34)=11)*(Expenses!C5:C34="Depreciation")*Expenses!E5:E34)</f>
      </c>
      <c r="M16" s="6">
        <f>SUMPRODUCT((MONTH(Expenses!A5:A34)=12)*(Expenses!C5:C34="Depreciation")*Expenses!E5:E34)</f>
      </c>
      <c r="N16" s="12">
        <f>SUM(B16:M16)</f>
      </c>
    </row>
    <row r="17" ht="22" customHeight="1" spans="1:14" x14ac:dyDescent="0.25">
      <c r="A17" s="13" t="s">
        <v>72</v>
      </c>
      <c r="B17" s="9">
        <f>SUMPRODUCT((MONTH(Expenses!A5:A34)=1)*(Expenses!C5:C34="Other")*Expenses!E5:E34)</f>
      </c>
      <c r="C17" s="9">
        <f>SUMPRODUCT((MONTH(Expenses!A5:A34)=2)*(Expenses!C5:C34="Other")*Expenses!E5:E34)</f>
      </c>
      <c r="D17" s="9">
        <f>SUMPRODUCT((MONTH(Expenses!A5:A34)=3)*(Expenses!C5:C34="Other")*Expenses!E5:E34)</f>
      </c>
      <c r="E17" s="9">
        <f>SUMPRODUCT((MONTH(Expenses!A5:A34)=4)*(Expenses!C5:C34="Other")*Expenses!E5:E34)</f>
      </c>
      <c r="F17" s="9">
        <f>SUMPRODUCT((MONTH(Expenses!A5:A34)=5)*(Expenses!C5:C34="Other")*Expenses!E5:E34)</f>
      </c>
      <c r="G17" s="9">
        <f>SUMPRODUCT((MONTH(Expenses!A5:A34)=6)*(Expenses!C5:C34="Other")*Expenses!E5:E34)</f>
      </c>
      <c r="H17" s="9">
        <f>SUMPRODUCT((MONTH(Expenses!A5:A34)=7)*(Expenses!C5:C34="Other")*Expenses!E5:E34)</f>
      </c>
      <c r="I17" s="9">
        <f>SUMPRODUCT((MONTH(Expenses!A5:A34)=8)*(Expenses!C5:C34="Other")*Expenses!E5:E34)</f>
      </c>
      <c r="J17" s="9">
        <f>SUMPRODUCT((MONTH(Expenses!A5:A34)=9)*(Expenses!C5:C34="Other")*Expenses!E5:E34)</f>
      </c>
      <c r="K17" s="9">
        <f>SUMPRODUCT((MONTH(Expenses!A5:A34)=10)*(Expenses!C5:C34="Other")*Expenses!E5:E34)</f>
      </c>
      <c r="L17" s="9">
        <f>SUMPRODUCT((MONTH(Expenses!A5:A34)=11)*(Expenses!C5:C34="Other")*Expenses!E5:E34)</f>
      </c>
      <c r="M17" s="9">
        <f>SUMPRODUCT((MONTH(Expenses!A5:A34)=12)*(Expenses!C5:C34="Other")*Expenses!E5:E34)</f>
      </c>
      <c r="N17" s="14">
        <f>SUM(B17:M17)</f>
      </c>
    </row>
    <row r="18" ht="22" customHeight="1" spans="1:14" x14ac:dyDescent="0.25">
      <c r="A18" s="15" t="s">
        <v>73</v>
      </c>
      <c r="B18" s="16">
        <f>SUM(B4:B17)</f>
      </c>
      <c r="C18" s="16">
        <f>SUM(C4:C17)</f>
      </c>
      <c r="D18" s="16">
        <f>SUM(D4:D17)</f>
      </c>
      <c r="E18" s="16">
        <f>SUM(E4:E17)</f>
      </c>
      <c r="F18" s="16">
        <f>SUM(F4:F17)</f>
      </c>
      <c r="G18" s="16">
        <f>SUM(G4:G17)</f>
      </c>
      <c r="H18" s="16">
        <f>SUM(H4:H17)</f>
      </c>
      <c r="I18" s="16">
        <f>SUM(I4:I17)</f>
      </c>
      <c r="J18" s="16">
        <f>SUM(J4:J17)</f>
      </c>
      <c r="K18" s="16">
        <f>SUM(K4:K17)</f>
      </c>
      <c r="L18" s="16">
        <f>SUM(L4:L17)</f>
      </c>
      <c r="M18" s="16">
        <f>SUM(M4:M17)</f>
      </c>
      <c r="N18" s="16">
        <f>SUM(N4:N17)</f>
      </c>
    </row>
  </sheetData>
  <mergeCells count="1">
    <mergeCell ref="A1:N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9669"/>
  </sheetPr>
  <dimension ref="A1:C18"/>
  <sheetFormatPr defaultRowHeight="15" outlineLevelRow="0" outlineLevelCol="0" x14ac:dyDescent="55"/>
  <cols>
    <col min="1" max="1" width="26" customWidth="1"/>
    <col min="2" max="2" width="18" customWidth="1"/>
    <col min="3" max="3" width="30" customWidth="1"/>
  </cols>
  <sheetData>
    <row r="1" ht="32" customHeight="1" spans="1:3" x14ac:dyDescent="0.25">
      <c r="A1" s="10" t="s">
        <v>74</v>
      </c>
      <c r="B1" s="10"/>
      <c r="C1" s="10"/>
    </row>
    <row r="2" ht="6" customHeight="1" x14ac:dyDescent="0.25"/>
    <row r="3" ht="28" customHeight="1" spans="1:3" x14ac:dyDescent="0.25">
      <c r="A3" s="3" t="s">
        <v>75</v>
      </c>
      <c r="B3" s="3" t="s">
        <v>76</v>
      </c>
      <c r="C3" s="3" t="s">
        <v>77</v>
      </c>
    </row>
    <row r="4" ht="22" customHeight="1" spans="1:3" x14ac:dyDescent="0.25">
      <c r="A4" s="11" t="s">
        <v>42</v>
      </c>
      <c r="B4" s="6">
        <f>SUMPRODUCT((Expenses!C5:C34="Advertising")*Expenses!E5:E34)</f>
      </c>
      <c r="C4" s="17" t="s">
        <v>78</v>
      </c>
    </row>
    <row r="5" ht="22" customHeight="1" spans="1:3" x14ac:dyDescent="0.25">
      <c r="A5" s="13" t="s">
        <v>69</v>
      </c>
      <c r="B5" s="9">
        <f>SUMPRODUCT((Expenses!C5:C34="Auto/Travel")*Expenses!E5:E34)</f>
      </c>
      <c r="C5" s="18" t="s">
        <v>79</v>
      </c>
    </row>
    <row r="6" ht="22" customHeight="1" spans="1:3" x14ac:dyDescent="0.25">
      <c r="A6" s="11" t="s">
        <v>25</v>
      </c>
      <c r="B6" s="6">
        <f>SUMPRODUCT((Expenses!C5:C34="Cleaning/Maintenance")*Expenses!E5:E34)</f>
      </c>
      <c r="C6" s="17" t="s">
        <v>80</v>
      </c>
    </row>
    <row r="7" ht="22" customHeight="1" spans="1:3" x14ac:dyDescent="0.25">
      <c r="A7" s="13" t="s">
        <v>70</v>
      </c>
      <c r="B7" s="9">
        <f>SUMPRODUCT((Expenses!C5:C34="Commissions")*Expenses!E5:E34)</f>
      </c>
      <c r="C7" s="18" t="s">
        <v>81</v>
      </c>
    </row>
    <row r="8" ht="22" customHeight="1" spans="1:3" x14ac:dyDescent="0.25">
      <c r="A8" s="11" t="s">
        <v>19</v>
      </c>
      <c r="B8" s="6">
        <f>SUMPRODUCT((Expenses!C5:C34="Insurance")*Expenses!E5:E34)</f>
      </c>
      <c r="C8" s="17" t="s">
        <v>82</v>
      </c>
    </row>
    <row r="9" ht="22" customHeight="1" spans="1:3" x14ac:dyDescent="0.25">
      <c r="A9" s="13" t="s">
        <v>45</v>
      </c>
      <c r="B9" s="9">
        <f>SUMPRODUCT((Expenses!C5:C34="Legal/Professional")*Expenses!E5:E34)</f>
      </c>
      <c r="C9" s="18" t="s">
        <v>83</v>
      </c>
    </row>
    <row r="10" ht="22" customHeight="1" spans="1:3" x14ac:dyDescent="0.25">
      <c r="A10" s="11" t="s">
        <v>49</v>
      </c>
      <c r="B10" s="6">
        <f>SUMPRODUCT((Expenses!C5:C34="Management Fees")*Expenses!E5:E34)</f>
      </c>
      <c r="C10" s="17" t="s">
        <v>84</v>
      </c>
    </row>
    <row r="11" ht="22" customHeight="1" spans="1:3" x14ac:dyDescent="0.25">
      <c r="A11" s="13" t="s">
        <v>34</v>
      </c>
      <c r="B11" s="9">
        <f>SUMPRODUCT((Expenses!C5:C34="Mortgage Interest")*Expenses!E5:E34)</f>
      </c>
      <c r="C11" s="18" t="s">
        <v>85</v>
      </c>
    </row>
    <row r="12" ht="22" customHeight="1" spans="1:3" x14ac:dyDescent="0.25">
      <c r="A12" s="11" t="s">
        <v>13</v>
      </c>
      <c r="B12" s="6">
        <f>SUMPRODUCT((Expenses!C5:C34="Repairs")*Expenses!E5:E34)</f>
      </c>
      <c r="C12" s="17" t="s">
        <v>86</v>
      </c>
    </row>
    <row r="13" ht="22" customHeight="1" spans="1:3" x14ac:dyDescent="0.25">
      <c r="A13" s="13" t="s">
        <v>38</v>
      </c>
      <c r="B13" s="9">
        <f>SUMPRODUCT((Expenses!C5:C34="Supplies")*Expenses!E5:E34)</f>
      </c>
      <c r="C13" s="18" t="s">
        <v>87</v>
      </c>
    </row>
    <row r="14" ht="22" customHeight="1" spans="1:3" x14ac:dyDescent="0.25">
      <c r="A14" s="11" t="s">
        <v>53</v>
      </c>
      <c r="B14" s="6">
        <f>SUMPRODUCT((Expenses!C5:C34="Taxes")*Expenses!E5:E34)</f>
      </c>
      <c r="C14" s="17" t="s">
        <v>88</v>
      </c>
    </row>
    <row r="15" ht="22" customHeight="1" spans="1:3" x14ac:dyDescent="0.25">
      <c r="A15" s="13" t="s">
        <v>30</v>
      </c>
      <c r="B15" s="9">
        <f>SUMPRODUCT((Expenses!C5:C34="Utilities")*Expenses!E5:E34)</f>
      </c>
      <c r="C15" s="18" t="s">
        <v>89</v>
      </c>
    </row>
    <row r="16" ht="22" customHeight="1" spans="1:3" x14ac:dyDescent="0.25">
      <c r="A16" s="11" t="s">
        <v>71</v>
      </c>
      <c r="B16" s="6">
        <f>SUMPRODUCT((Expenses!C5:C34="Depreciation")*Expenses!E5:E34)</f>
      </c>
      <c r="C16" s="17" t="s">
        <v>90</v>
      </c>
    </row>
    <row r="17" ht="22" customHeight="1" spans="1:3" x14ac:dyDescent="0.25">
      <c r="A17" s="13" t="s">
        <v>72</v>
      </c>
      <c r="B17" s="9">
        <f>SUMPRODUCT((Expenses!C5:C34="Other")*Expenses!E5:E34)</f>
      </c>
      <c r="C17" s="18" t="s">
        <v>91</v>
      </c>
    </row>
    <row r="18" ht="22" customHeight="1" spans="1:3" x14ac:dyDescent="0.25">
      <c r="A18" s="15" t="s">
        <v>92</v>
      </c>
      <c r="B18" s="19">
        <f>SUM(B4:B17)</f>
      </c>
      <c r="C18" s="5"/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43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20" t="s">
        <v>93</v>
      </c>
    </row>
    <row r="2" spans="1:1" x14ac:dyDescent="0.25">
      <c r="A2" t="s">
        <v>28</v>
      </c>
    </row>
    <row r="3" spans="1:1" x14ac:dyDescent="0.25">
      <c r="A3" s="21" t="s">
        <v>94</v>
      </c>
    </row>
    <row r="4" spans="1:1" x14ac:dyDescent="0.25">
      <c r="A4" t="s">
        <v>28</v>
      </c>
    </row>
    <row r="5" ht="26" customHeight="1" spans="1:1" x14ac:dyDescent="0.25">
      <c r="A5" s="22" t="s">
        <v>95</v>
      </c>
    </row>
    <row r="6" spans="1:1" x14ac:dyDescent="0.25">
      <c r="A6" s="23" t="s">
        <v>96</v>
      </c>
    </row>
    <row r="7" spans="1:1" x14ac:dyDescent="0.25">
      <c r="A7" s="23" t="s">
        <v>97</v>
      </c>
    </row>
    <row r="8" spans="1:1" x14ac:dyDescent="0.25">
      <c r="A8" s="23" t="s">
        <v>98</v>
      </c>
    </row>
    <row r="9" spans="1:1" x14ac:dyDescent="0.25">
      <c r="A9" s="23" t="s">
        <v>99</v>
      </c>
    </row>
    <row r="10" spans="1:1" x14ac:dyDescent="0.25">
      <c r="A10" s="23" t="s">
        <v>100</v>
      </c>
    </row>
    <row r="11" spans="1:1" x14ac:dyDescent="0.25">
      <c r="A11" t="s">
        <v>28</v>
      </c>
    </row>
    <row r="12" ht="26" customHeight="1" spans="1:1" x14ac:dyDescent="0.25">
      <c r="A12" s="22" t="s">
        <v>101</v>
      </c>
    </row>
    <row r="13" spans="1:1" x14ac:dyDescent="0.25">
      <c r="A13" s="23" t="s">
        <v>102</v>
      </c>
    </row>
    <row r="14" spans="1:1" x14ac:dyDescent="0.25">
      <c r="A14" s="23" t="s">
        <v>103</v>
      </c>
    </row>
    <row r="15" spans="1:1" x14ac:dyDescent="0.25">
      <c r="A15" s="23" t="s">
        <v>104</v>
      </c>
    </row>
    <row r="16" spans="1:1" x14ac:dyDescent="0.25">
      <c r="A16" s="23" t="s">
        <v>105</v>
      </c>
    </row>
    <row r="17" spans="1:1" x14ac:dyDescent="0.25">
      <c r="A17" s="23" t="s">
        <v>106</v>
      </c>
    </row>
    <row r="18" spans="1:1" x14ac:dyDescent="0.25">
      <c r="A18" s="23" t="s">
        <v>107</v>
      </c>
    </row>
    <row r="19" spans="1:1" x14ac:dyDescent="0.25">
      <c r="A19" s="23" t="s">
        <v>108</v>
      </c>
    </row>
    <row r="20" spans="1:1" x14ac:dyDescent="0.25">
      <c r="A20" s="23" t="s">
        <v>109</v>
      </c>
    </row>
    <row r="21" spans="1:1" x14ac:dyDescent="0.25">
      <c r="A21" s="23" t="s">
        <v>110</v>
      </c>
    </row>
    <row r="22" spans="1:1" x14ac:dyDescent="0.25">
      <c r="A22" s="23" t="s">
        <v>111</v>
      </c>
    </row>
    <row r="23" spans="1:1" x14ac:dyDescent="0.25">
      <c r="A23" s="23" t="s">
        <v>112</v>
      </c>
    </row>
    <row r="24" spans="1:1" x14ac:dyDescent="0.25">
      <c r="A24" s="23" t="s">
        <v>113</v>
      </c>
    </row>
    <row r="25" spans="1:1" x14ac:dyDescent="0.25">
      <c r="A25" s="23" t="s">
        <v>114</v>
      </c>
    </row>
    <row r="26" spans="1:1" x14ac:dyDescent="0.25">
      <c r="A26" s="23" t="s">
        <v>115</v>
      </c>
    </row>
    <row r="27" spans="1:1" x14ac:dyDescent="0.25">
      <c r="A27" t="s">
        <v>28</v>
      </c>
    </row>
    <row r="28" ht="26" customHeight="1" spans="1:1" x14ac:dyDescent="0.25">
      <c r="A28" s="22" t="s">
        <v>116</v>
      </c>
    </row>
    <row r="29" spans="1:1" x14ac:dyDescent="0.25">
      <c r="A29" s="23" t="s">
        <v>117</v>
      </c>
    </row>
    <row r="30" spans="1:1" x14ac:dyDescent="0.25">
      <c r="A30" s="23" t="s">
        <v>118</v>
      </c>
    </row>
    <row r="31" spans="1:1" x14ac:dyDescent="0.25">
      <c r="A31" s="23" t="s">
        <v>119</v>
      </c>
    </row>
    <row r="32" spans="1:1" x14ac:dyDescent="0.25">
      <c r="A32" s="23" t="s">
        <v>120</v>
      </c>
    </row>
    <row r="33" spans="1:1" x14ac:dyDescent="0.25">
      <c r="A33" t="s">
        <v>28</v>
      </c>
    </row>
    <row r="34" ht="26" customHeight="1" spans="1:1" x14ac:dyDescent="0.25">
      <c r="A34" s="22" t="s">
        <v>121</v>
      </c>
    </row>
    <row r="35" spans="1:1" x14ac:dyDescent="0.25">
      <c r="A35" s="23" t="s">
        <v>122</v>
      </c>
    </row>
    <row r="36" spans="1:1" x14ac:dyDescent="0.25">
      <c r="A36" s="23" t="s">
        <v>123</v>
      </c>
    </row>
    <row r="37" spans="1:1" x14ac:dyDescent="0.25">
      <c r="A37" s="23" t="s">
        <v>124</v>
      </c>
    </row>
    <row r="38" spans="1:1" x14ac:dyDescent="0.25">
      <c r="A38" t="s">
        <v>28</v>
      </c>
    </row>
    <row r="39" spans="1:1" x14ac:dyDescent="0.25">
      <c r="A39" t="s">
        <v>28</v>
      </c>
    </row>
    <row r="40" spans="1:1" x14ac:dyDescent="0.25">
      <c r="A40" s="24" t="s">
        <v>125</v>
      </c>
    </row>
    <row r="41" spans="1:1" x14ac:dyDescent="0.25">
      <c r="A41" s="25" t="s">
        <v>126</v>
      </c>
    </row>
    <row r="42" spans="1:1" x14ac:dyDescent="0.25">
      <c r="A42" t="s">
        <v>28</v>
      </c>
    </row>
    <row r="43" spans="1:1" x14ac:dyDescent="0.25">
      <c r="A43" s="26" t="s">
        <v>127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Expenses</vt:lpstr>
      <vt:lpstr>Monthly Summary</vt:lpstr>
      <vt:lpstr>Annual Summary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2026-02-07T19:11:08Z</dcterms:created>
  <dcterms:modified xsi:type="dcterms:W3CDTF">2026-02-07T19:11:08Z</dcterms:modified>
</cp:coreProperties>
</file>